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Расчет" sheetId="1" r:id="rId1"/>
    <sheet name="БАЗА_ПАТРОНОВ" sheetId="2" r:id="rId2"/>
    <sheet name="БАЗА_ОРУЖИЯ" sheetId="4" r:id="rId3"/>
  </sheets>
  <calcPr calcId="125725"/>
</workbook>
</file>

<file path=xl/calcChain.xml><?xml version="1.0" encoding="utf-8"?>
<calcChain xmlns="http://schemas.openxmlformats.org/spreadsheetml/2006/main">
  <c r="A39" i="2"/>
  <c r="A38"/>
  <c r="A37"/>
  <c r="A36"/>
  <c r="A35"/>
  <c r="A34"/>
  <c r="A33"/>
  <c r="A32"/>
  <c r="A31"/>
  <c r="A30"/>
  <c r="A29"/>
  <c r="A28"/>
  <c r="A27"/>
  <c r="K20" i="1"/>
  <c r="F20"/>
  <c r="E3" i="2"/>
  <c r="F3"/>
  <c r="F2" s="1"/>
  <c r="B7" i="1" s="1"/>
  <c r="C7" s="1"/>
  <c r="G3" i="2"/>
  <c r="G2" s="1"/>
  <c r="B9" i="1" s="1"/>
  <c r="C9" s="1"/>
  <c r="H3" i="2"/>
  <c r="H2" s="1"/>
  <c r="B11" i="1" s="1"/>
  <c r="C11" s="1"/>
  <c r="B3" i="4"/>
  <c r="C3"/>
  <c r="C2"/>
  <c r="J7" i="1"/>
  <c r="K7"/>
  <c r="A26" i="2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A4"/>
  <c r="I6" i="1"/>
  <c r="I4"/>
  <c r="B14"/>
  <c r="C14"/>
  <c r="D3" i="4"/>
  <c r="B2"/>
  <c r="J5" i="1"/>
  <c r="K5"/>
  <c r="A2" i="4"/>
  <c r="D2"/>
  <c r="E3"/>
  <c r="A2" i="2"/>
  <c r="E2" i="4"/>
  <c r="F3"/>
  <c r="F2"/>
  <c r="G3"/>
  <c r="H3"/>
  <c r="G2"/>
  <c r="I3"/>
  <c r="H2"/>
  <c r="I3" i="2"/>
  <c r="I2" s="1"/>
  <c r="B12" i="1" s="1"/>
  <c r="J3" i="4"/>
  <c r="I2"/>
  <c r="J3" i="2"/>
  <c r="J2" s="1"/>
  <c r="K3" i="4"/>
  <c r="J2"/>
  <c r="K3" i="2"/>
  <c r="K2" s="1"/>
  <c r="L3" i="4"/>
  <c r="L2"/>
  <c r="K2"/>
  <c r="L3" i="2"/>
  <c r="L2" s="1"/>
  <c r="M3"/>
  <c r="M2" s="1"/>
  <c r="N3"/>
  <c r="N2" s="1"/>
  <c r="O3"/>
  <c r="O2" s="1"/>
  <c r="E2" l="1"/>
  <c r="B5" i="1" s="1"/>
  <c r="C5" l="1"/>
  <c r="D8"/>
  <c r="J9"/>
  <c r="E12"/>
  <c r="D15" s="1"/>
  <c r="K9" l="1"/>
  <c r="D6"/>
</calcChain>
</file>

<file path=xl/sharedStrings.xml><?xml version="1.0" encoding="utf-8"?>
<sst xmlns="http://schemas.openxmlformats.org/spreadsheetml/2006/main" count="110" uniqueCount="66">
  <si>
    <t xml:space="preserve">Диаметр пули </t>
  </si>
  <si>
    <t>дюймы</t>
  </si>
  <si>
    <t>мм</t>
  </si>
  <si>
    <t>Шаг нарезов</t>
  </si>
  <si>
    <t xml:space="preserve">Длина пули </t>
  </si>
  <si>
    <t xml:space="preserve">Скорость пули </t>
  </si>
  <si>
    <t>м/с</t>
  </si>
  <si>
    <t>Тип патрона</t>
  </si>
  <si>
    <t>Тип</t>
  </si>
  <si>
    <t>Диаметр</t>
  </si>
  <si>
    <t>длина</t>
  </si>
  <si>
    <t>масса</t>
  </si>
  <si>
    <t xml:space="preserve">Масса пули </t>
  </si>
  <si>
    <t>скорость</t>
  </si>
  <si>
    <t>Метрическая система:</t>
  </si>
  <si>
    <t>Баллистический коэфф.</t>
  </si>
  <si>
    <t>БК</t>
  </si>
  <si>
    <t>Винтовка</t>
  </si>
  <si>
    <t>Калибр</t>
  </si>
  <si>
    <t>ИЖ-18МН</t>
  </si>
  <si>
    <t>Угловая скорость пули</t>
  </si>
  <si>
    <t>Формула Гринхилла</t>
  </si>
  <si>
    <t>Формула Гринхилла (обновленная)</t>
  </si>
  <si>
    <t>SF = ((W*(20.62*(D^2.25))^2)/((T*(L^2.25))^2))/(1-(V/5705))</t>
  </si>
  <si>
    <t>SF - гироскопический коеффициент стабильности.
SF &lt; 1.0 - Пуля не стабильна.
SF &gt;= 1.0 - Пуля на грани нестабильности.
SF &gt; 1.3 - Пуля полностью стабилизирована.
SF &gt; 1.5 - Пуля максимально стабилизирована.</t>
  </si>
  <si>
    <t>W - Вес пули в гранах; D - Диаметр пули в дюймах; L - Длина пули в дюймах; T - Шаг нарезов (количество дюймов на одно вращение); V - Начальная скорость пули в футах в секунду.</t>
  </si>
  <si>
    <t>SF - гироскопический коеффициент стабильности.</t>
  </si>
  <si>
    <t>V</t>
  </si>
  <si>
    <t>грамм</t>
  </si>
  <si>
    <t>гранн</t>
  </si>
  <si>
    <t>фут/сек</t>
  </si>
  <si>
    <t>Производитель</t>
  </si>
  <si>
    <t>Тула</t>
  </si>
  <si>
    <t>Federal</t>
  </si>
  <si>
    <t>Winchester</t>
  </si>
  <si>
    <t>Барнаул</t>
  </si>
  <si>
    <t>Тип пули</t>
  </si>
  <si>
    <t>GR FMJ</t>
  </si>
  <si>
    <t>GR HP</t>
  </si>
  <si>
    <t>калибр</t>
  </si>
  <si>
    <t>223Rem</t>
  </si>
  <si>
    <t>GM</t>
  </si>
  <si>
    <t>SBST</t>
  </si>
  <si>
    <t>22LR</t>
  </si>
  <si>
    <t>ТОЗ-8-01</t>
  </si>
  <si>
    <t>Английская (дюймовая) система:</t>
  </si>
  <si>
    <t>В зависимости от диаметра пули (подбираем ствол, Т не более):</t>
  </si>
  <si>
    <t>Swiss Munition (SM)</t>
  </si>
  <si>
    <t>SWISS P</t>
  </si>
  <si>
    <t>SpeedHead (105G)</t>
  </si>
  <si>
    <t>Sako</t>
  </si>
  <si>
    <t>Norma</t>
  </si>
  <si>
    <t>FMJBT (15725)</t>
  </si>
  <si>
    <t>Ballistic Silvertip</t>
  </si>
  <si>
    <t>Hornady</t>
  </si>
  <si>
    <t>Varmint Express (VX) MOLY</t>
  </si>
  <si>
    <t xml:space="preserve">Super Match </t>
  </si>
  <si>
    <t>V-max</t>
  </si>
  <si>
    <t>Кентавр</t>
  </si>
  <si>
    <t>FMJBT</t>
  </si>
  <si>
    <t>Рекомендуемый шаг нарезов</t>
  </si>
  <si>
    <t>FMJBT (2267)</t>
  </si>
  <si>
    <t>ПНЕВМАТИКА</t>
  </si>
  <si>
    <t>Diana 34 Classic</t>
  </si>
  <si>
    <t>МР-514</t>
  </si>
  <si>
    <t>МР-512</t>
  </si>
</sst>
</file>

<file path=xl/styles.xml><?xml version="1.0" encoding="utf-8"?>
<styleSheet xmlns="http://schemas.openxmlformats.org/spreadsheetml/2006/main">
  <numFmts count="1">
    <numFmt numFmtId="164" formatCode="0.000"/>
  </numFmts>
  <fonts count="11">
    <font>
      <sz val="11"/>
      <color theme="1"/>
      <name val="Calibri"/>
      <family val="2"/>
      <charset val="204"/>
      <scheme val="minor"/>
    </font>
    <font>
      <b/>
      <sz val="11"/>
      <color indexed="8"/>
      <name val="Calibri"/>
      <family val="2"/>
      <charset val="204"/>
    </font>
    <font>
      <b/>
      <sz val="11"/>
      <color indexed="16"/>
      <name val="Calibri"/>
      <family val="2"/>
      <charset val="204"/>
    </font>
    <font>
      <b/>
      <sz val="11"/>
      <color indexed="13"/>
      <name val="Calibri"/>
      <family val="2"/>
      <charset val="204"/>
    </font>
    <font>
      <sz val="8"/>
      <color indexed="8"/>
      <name val="Calibri"/>
      <family val="2"/>
      <charset val="204"/>
    </font>
    <font>
      <b/>
      <sz val="16"/>
      <color indexed="16"/>
      <name val="Calibri"/>
      <family val="2"/>
      <charset val="204"/>
    </font>
    <font>
      <sz val="8"/>
      <name val="Calibri"/>
      <family val="2"/>
      <charset val="204"/>
    </font>
    <font>
      <b/>
      <sz val="14"/>
      <color indexed="13"/>
      <name val="Calibri"/>
      <family val="2"/>
      <charset val="204"/>
    </font>
    <font>
      <b/>
      <sz val="12"/>
      <color indexed="13"/>
      <name val="Calibri"/>
      <family val="2"/>
      <charset val="204"/>
    </font>
    <font>
      <b/>
      <sz val="11"/>
      <color indexed="10"/>
      <name val="Calibri"/>
      <family val="2"/>
      <charset val="204"/>
    </font>
    <font>
      <b/>
      <sz val="22"/>
      <color rgb="FFFFFF00"/>
      <name val="Calibri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3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3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2" borderId="5" xfId="0" applyFill="1" applyBorder="1"/>
    <xf numFmtId="0" fontId="0" fillId="2" borderId="6" xfId="0" applyFill="1" applyBorder="1"/>
    <xf numFmtId="0" fontId="1" fillId="2" borderId="7" xfId="0" applyFont="1" applyFill="1" applyBorder="1" applyAlignment="1">
      <alignment horizontal="center" vertical="center"/>
    </xf>
    <xf numFmtId="0" fontId="1" fillId="2" borderId="7" xfId="0" applyFont="1" applyFill="1" applyBorder="1"/>
    <xf numFmtId="2" fontId="2" fillId="2" borderId="8" xfId="0" applyNumberFormat="1" applyFont="1" applyFill="1" applyBorder="1" applyAlignment="1">
      <alignment horizontal="center" vertical="center"/>
    </xf>
    <xf numFmtId="2" fontId="2" fillId="2" borderId="9" xfId="0" applyNumberFormat="1" applyFont="1" applyFill="1" applyBorder="1" applyAlignment="1">
      <alignment horizontal="center" vertical="center"/>
    </xf>
    <xf numFmtId="2" fontId="2" fillId="2" borderId="10" xfId="0" applyNumberFormat="1" applyFont="1" applyFill="1" applyBorder="1" applyAlignment="1">
      <alignment horizontal="center" vertical="center"/>
    </xf>
    <xf numFmtId="164" fontId="2" fillId="2" borderId="11" xfId="0" applyNumberFormat="1" applyFont="1" applyFill="1" applyBorder="1" applyAlignment="1">
      <alignment horizontal="center" vertical="center"/>
    </xf>
    <xf numFmtId="0" fontId="2" fillId="2" borderId="5" xfId="0" applyFont="1" applyFill="1" applyBorder="1"/>
    <xf numFmtId="0" fontId="2" fillId="2" borderId="6" xfId="0" applyFont="1" applyFill="1" applyBorder="1"/>
    <xf numFmtId="164" fontId="2" fillId="2" borderId="9" xfId="0" applyNumberFormat="1" applyFont="1" applyFill="1" applyBorder="1" applyAlignment="1">
      <alignment horizontal="center" vertical="center"/>
    </xf>
    <xf numFmtId="0" fontId="0" fillId="3" borderId="0" xfId="0" applyFill="1" applyBorder="1"/>
    <xf numFmtId="0" fontId="0" fillId="2" borderId="12" xfId="0" applyFill="1" applyBorder="1"/>
    <xf numFmtId="0" fontId="0" fillId="2" borderId="13" xfId="0" applyFill="1" applyBorder="1"/>
    <xf numFmtId="0" fontId="0" fillId="2" borderId="14" xfId="0" applyFill="1" applyBorder="1"/>
    <xf numFmtId="0" fontId="0" fillId="2" borderId="0" xfId="0" applyFill="1" applyBorder="1"/>
    <xf numFmtId="0" fontId="0" fillId="4" borderId="0" xfId="0" applyFill="1" applyBorder="1"/>
    <xf numFmtId="0" fontId="0" fillId="3" borderId="15" xfId="0" applyFill="1" applyBorder="1"/>
    <xf numFmtId="0" fontId="0" fillId="2" borderId="16" xfId="0" applyFill="1" applyBorder="1"/>
    <xf numFmtId="0" fontId="0" fillId="2" borderId="17" xfId="0" applyFill="1" applyBorder="1"/>
    <xf numFmtId="0" fontId="0" fillId="4" borderId="17" xfId="0" applyFill="1" applyBorder="1"/>
    <xf numFmtId="0" fontId="0" fillId="3" borderId="17" xfId="0" applyFill="1" applyBorder="1"/>
    <xf numFmtId="0" fontId="0" fillId="3" borderId="18" xfId="0" applyFill="1" applyBorder="1"/>
    <xf numFmtId="0" fontId="0" fillId="2" borderId="19" xfId="0" applyFill="1" applyBorder="1"/>
    <xf numFmtId="0" fontId="1" fillId="2" borderId="20" xfId="0" applyFont="1" applyFill="1" applyBorder="1" applyAlignment="1">
      <alignment horizontal="center" vertical="center"/>
    </xf>
    <xf numFmtId="164" fontId="2" fillId="2" borderId="21" xfId="0" applyNumberFormat="1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2" fontId="2" fillId="2" borderId="21" xfId="0" applyNumberFormat="1" applyFont="1" applyFill="1" applyBorder="1" applyAlignment="1">
      <alignment horizontal="center" vertical="center"/>
    </xf>
    <xf numFmtId="164" fontId="2" fillId="2" borderId="23" xfId="0" applyNumberFormat="1" applyFont="1" applyFill="1" applyBorder="1" applyAlignment="1">
      <alignment horizontal="center" vertical="center"/>
    </xf>
    <xf numFmtId="0" fontId="2" fillId="2" borderId="19" xfId="0" applyFont="1" applyFill="1" applyBorder="1"/>
    <xf numFmtId="0" fontId="1" fillId="2" borderId="24" xfId="0" applyFont="1" applyFill="1" applyBorder="1" applyAlignment="1">
      <alignment horizontal="center" vertical="center"/>
    </xf>
    <xf numFmtId="0" fontId="1" fillId="2" borderId="24" xfId="0" applyFont="1" applyFill="1" applyBorder="1"/>
    <xf numFmtId="0" fontId="0" fillId="4" borderId="14" xfId="0" applyFill="1" applyBorder="1"/>
    <xf numFmtId="0" fontId="0" fillId="4" borderId="15" xfId="0" applyFill="1" applyBorder="1"/>
    <xf numFmtId="0" fontId="9" fillId="4" borderId="14" xfId="0" applyFont="1" applyFill="1" applyBorder="1"/>
    <xf numFmtId="0" fontId="2" fillId="4" borderId="14" xfId="0" applyFont="1" applyFill="1" applyBorder="1"/>
    <xf numFmtId="0" fontId="2" fillId="4" borderId="16" xfId="0" applyFont="1" applyFill="1" applyBorder="1"/>
    <xf numFmtId="0" fontId="0" fillId="4" borderId="18" xfId="0" applyFill="1" applyBorder="1"/>
    <xf numFmtId="2" fontId="9" fillId="2" borderId="8" xfId="0" applyNumberFormat="1" applyFont="1" applyFill="1" applyBorder="1" applyAlignment="1">
      <alignment horizontal="center" vertical="center"/>
    </xf>
    <xf numFmtId="164" fontId="9" fillId="2" borderId="9" xfId="0" applyNumberFormat="1" applyFont="1" applyFill="1" applyBorder="1" applyAlignment="1">
      <alignment horizontal="center" vertical="center"/>
    </xf>
    <xf numFmtId="0" fontId="0" fillId="7" borderId="30" xfId="0" applyFill="1" applyBorder="1" applyAlignment="1">
      <alignment wrapText="1"/>
    </xf>
    <xf numFmtId="0" fontId="0" fillId="7" borderId="31" xfId="0" applyFill="1" applyBorder="1" applyAlignment="1">
      <alignment wrapText="1"/>
    </xf>
    <xf numFmtId="0" fontId="0" fillId="7" borderId="32" xfId="0" applyFill="1" applyBorder="1" applyAlignment="1">
      <alignment wrapText="1"/>
    </xf>
    <xf numFmtId="0" fontId="5" fillId="8" borderId="30" xfId="0" applyFont="1" applyFill="1" applyBorder="1" applyAlignment="1">
      <alignment horizontal="center" vertical="center"/>
    </xf>
    <xf numFmtId="0" fontId="5" fillId="8" borderId="31" xfId="0" applyFont="1" applyFill="1" applyBorder="1" applyAlignment="1">
      <alignment horizontal="center" vertical="center"/>
    </xf>
    <xf numFmtId="0" fontId="5" fillId="8" borderId="32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wrapText="1"/>
    </xf>
    <xf numFmtId="0" fontId="4" fillId="3" borderId="0" xfId="0" applyFont="1" applyFill="1" applyBorder="1" applyAlignment="1">
      <alignment wrapText="1"/>
    </xf>
    <xf numFmtId="0" fontId="4" fillId="3" borderId="15" xfId="0" applyFont="1" applyFill="1" applyBorder="1" applyAlignment="1">
      <alignment wrapText="1"/>
    </xf>
    <xf numFmtId="0" fontId="1" fillId="2" borderId="28" xfId="0" applyFont="1" applyFill="1" applyBorder="1" applyAlignment="1">
      <alignment horizontal="center" vertical="center"/>
    </xf>
    <xf numFmtId="0" fontId="1" fillId="2" borderId="29" xfId="0" applyFont="1" applyFill="1" applyBorder="1" applyAlignment="1">
      <alignment horizontal="center" vertical="center"/>
    </xf>
    <xf numFmtId="0" fontId="10" fillId="6" borderId="12" xfId="0" applyFont="1" applyFill="1" applyBorder="1" applyAlignment="1">
      <alignment horizontal="center" vertical="center"/>
    </xf>
    <xf numFmtId="0" fontId="10" fillId="6" borderId="13" xfId="0" applyFont="1" applyFill="1" applyBorder="1" applyAlignment="1">
      <alignment horizontal="center" vertical="center"/>
    </xf>
    <xf numFmtId="0" fontId="10" fillId="6" borderId="25" xfId="0" applyFont="1" applyFill="1" applyBorder="1" applyAlignment="1">
      <alignment horizontal="center" vertical="center"/>
    </xf>
    <xf numFmtId="0" fontId="10" fillId="6" borderId="16" xfId="0" applyFont="1" applyFill="1" applyBorder="1" applyAlignment="1">
      <alignment horizontal="center" vertical="center"/>
    </xf>
    <xf numFmtId="0" fontId="10" fillId="6" borderId="17" xfId="0" applyFont="1" applyFill="1" applyBorder="1" applyAlignment="1">
      <alignment horizontal="center" vertical="center"/>
    </xf>
    <xf numFmtId="0" fontId="10" fillId="6" borderId="18" xfId="0" applyFont="1" applyFill="1" applyBorder="1" applyAlignment="1">
      <alignment horizontal="center" vertical="center"/>
    </xf>
    <xf numFmtId="0" fontId="1" fillId="2" borderId="34" xfId="0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1" fillId="2" borderId="37" xfId="0" applyFont="1" applyFill="1" applyBorder="1" applyAlignment="1">
      <alignment horizontal="center" vertical="center" wrapText="1"/>
    </xf>
    <xf numFmtId="0" fontId="1" fillId="2" borderId="38" xfId="0" applyFont="1" applyFill="1" applyBorder="1" applyAlignment="1">
      <alignment horizontal="center" vertical="center" wrapText="1"/>
    </xf>
    <xf numFmtId="0" fontId="1" fillId="2" borderId="36" xfId="0" applyFont="1" applyFill="1" applyBorder="1" applyAlignment="1">
      <alignment horizontal="center" vertical="center"/>
    </xf>
    <xf numFmtId="0" fontId="7" fillId="5" borderId="30" xfId="0" applyFont="1" applyFill="1" applyBorder="1" applyAlignment="1">
      <alignment horizontal="center" vertical="center"/>
    </xf>
    <xf numFmtId="0" fontId="7" fillId="5" borderId="31" xfId="0" applyFont="1" applyFill="1" applyBorder="1" applyAlignment="1">
      <alignment horizontal="center" vertical="center"/>
    </xf>
    <xf numFmtId="0" fontId="7" fillId="5" borderId="32" xfId="0" applyFont="1" applyFill="1" applyBorder="1" applyAlignment="1">
      <alignment horizontal="center" vertical="center"/>
    </xf>
    <xf numFmtId="0" fontId="8" fillId="6" borderId="30" xfId="0" applyFont="1" applyFill="1" applyBorder="1" applyAlignment="1">
      <alignment horizontal="center" vertical="center"/>
    </xf>
    <xf numFmtId="0" fontId="8" fillId="6" borderId="31" xfId="0" applyFont="1" applyFill="1" applyBorder="1" applyAlignment="1">
      <alignment horizontal="center" vertical="center"/>
    </xf>
    <xf numFmtId="0" fontId="8" fillId="6" borderId="32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1" fillId="4" borderId="25" xfId="0" applyFont="1" applyFill="1" applyBorder="1" applyAlignment="1">
      <alignment horizontal="center" vertical="center"/>
    </xf>
    <xf numFmtId="0" fontId="1" fillId="4" borderId="16" xfId="0" applyFont="1" applyFill="1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/>
    </xf>
    <xf numFmtId="0" fontId="1" fillId="4" borderId="18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/>
    </xf>
    <xf numFmtId="0" fontId="3" fillId="6" borderId="30" xfId="0" applyFont="1" applyFill="1" applyBorder="1" applyAlignment="1">
      <alignment horizontal="center" vertical="center"/>
    </xf>
    <xf numFmtId="0" fontId="3" fillId="6" borderId="31" xfId="0" applyFont="1" applyFill="1" applyBorder="1" applyAlignment="1">
      <alignment horizontal="center" vertical="center"/>
    </xf>
    <xf numFmtId="0" fontId="3" fillId="6" borderId="32" xfId="0" applyFont="1" applyFill="1" applyBorder="1" applyAlignment="1">
      <alignment horizontal="center" vertical="center"/>
    </xf>
    <xf numFmtId="0" fontId="1" fillId="2" borderId="33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K20"/>
  <sheetViews>
    <sheetView tabSelected="1" topLeftCell="A4" workbookViewId="0">
      <selection activeCell="C4" sqref="C4"/>
    </sheetView>
  </sheetViews>
  <sheetFormatPr defaultRowHeight="15"/>
  <cols>
    <col min="1" max="1" width="24.140625" customWidth="1"/>
    <col min="2" max="8" width="13.140625" customWidth="1"/>
    <col min="9" max="9" width="22.140625" customWidth="1"/>
    <col min="10" max="11" width="15.85546875" customWidth="1"/>
  </cols>
  <sheetData>
    <row r="1" spans="1:11">
      <c r="A1" s="17"/>
      <c r="B1" s="18"/>
      <c r="C1" s="18"/>
      <c r="D1" s="74" t="s">
        <v>3</v>
      </c>
      <c r="E1" s="75"/>
      <c r="F1" s="75"/>
      <c r="G1" s="75"/>
      <c r="H1" s="76"/>
      <c r="I1" s="75" t="s">
        <v>17</v>
      </c>
      <c r="J1" s="75"/>
      <c r="K1" s="76"/>
    </row>
    <row r="2" spans="1:11" ht="15.75" thickBot="1">
      <c r="A2" s="19"/>
      <c r="B2" s="20"/>
      <c r="C2" s="20"/>
      <c r="D2" s="77"/>
      <c r="E2" s="78"/>
      <c r="F2" s="78"/>
      <c r="G2" s="78"/>
      <c r="H2" s="79"/>
      <c r="I2" s="78"/>
      <c r="J2" s="78"/>
      <c r="K2" s="79"/>
    </row>
    <row r="3" spans="1:11" ht="19.5" customHeight="1" thickBot="1">
      <c r="A3" s="7" t="s">
        <v>7</v>
      </c>
      <c r="B3" s="5"/>
      <c r="C3" s="28"/>
      <c r="D3" s="68" t="s">
        <v>21</v>
      </c>
      <c r="E3" s="69"/>
      <c r="F3" s="69"/>
      <c r="G3" s="69"/>
      <c r="H3" s="70"/>
      <c r="I3" s="35" t="s">
        <v>7</v>
      </c>
      <c r="J3" s="5"/>
      <c r="K3" s="6"/>
    </row>
    <row r="4" spans="1:11" ht="15.75" thickBot="1">
      <c r="A4" s="84" t="s">
        <v>0</v>
      </c>
      <c r="B4" s="3" t="s">
        <v>2</v>
      </c>
      <c r="C4" s="29" t="s">
        <v>1</v>
      </c>
      <c r="D4" s="81" t="s">
        <v>46</v>
      </c>
      <c r="E4" s="82"/>
      <c r="F4" s="82"/>
      <c r="G4" s="82"/>
      <c r="H4" s="83"/>
      <c r="I4" s="80" t="str">
        <f>БАЗА_ОРУЖИЯ!B1</f>
        <v>Калибр</v>
      </c>
      <c r="J4" s="3" t="s">
        <v>2</v>
      </c>
      <c r="K4" s="4" t="s">
        <v>1</v>
      </c>
    </row>
    <row r="5" spans="1:11" ht="15.75" thickBot="1">
      <c r="A5" s="55"/>
      <c r="B5" s="9">
        <f>БАЗА_ПАТРОНОВ!E2</f>
        <v>5.7</v>
      </c>
      <c r="C5" s="30">
        <f>B5*0.03937</f>
        <v>0.22440900000000003</v>
      </c>
      <c r="D5" s="37" t="s">
        <v>45</v>
      </c>
      <c r="E5" s="21"/>
      <c r="F5" s="21"/>
      <c r="G5" s="21"/>
      <c r="H5" s="38"/>
      <c r="I5" s="64"/>
      <c r="J5" s="9">
        <f>БАЗА_ОРУЖИЯ!B2</f>
        <v>5.56</v>
      </c>
      <c r="K5" s="15">
        <f>J5*0.03937</f>
        <v>0.21889719999999999</v>
      </c>
    </row>
    <row r="6" spans="1:11">
      <c r="A6" s="54" t="s">
        <v>4</v>
      </c>
      <c r="B6" s="1" t="s">
        <v>2</v>
      </c>
      <c r="C6" s="31" t="s">
        <v>1</v>
      </c>
      <c r="D6" s="39" t="str">
        <f>"Т = ("&amp;IF(B9&lt;457,125,IF(457&lt;B9&lt;853,150,180))&amp;"*"&amp;$C$5&amp;"^2) / "&amp;$C$7&amp;" = "&amp;ROUNDUP((IF(B9&lt;457,125,IF(457&lt;B9&lt;853,150,180))*$C$5^2)/$C$7,3)&amp;" дюймов"</f>
        <v>Т = (180*0,224409^2) / 0,74803 = 12,119 дюймов</v>
      </c>
      <c r="E6" s="21"/>
      <c r="F6" s="21"/>
      <c r="G6" s="21"/>
      <c r="H6" s="38"/>
      <c r="I6" s="63" t="str">
        <f>БАЗА_ОРУЖИЯ!C1</f>
        <v>Шаг нарезов</v>
      </c>
      <c r="J6" s="1" t="s">
        <v>2</v>
      </c>
      <c r="K6" s="2" t="s">
        <v>1</v>
      </c>
    </row>
    <row r="7" spans="1:11" ht="15.75" thickBot="1">
      <c r="A7" s="55"/>
      <c r="B7" s="9">
        <f>БАЗА_ПАТРОНОВ!F2</f>
        <v>19</v>
      </c>
      <c r="C7" s="30">
        <f>B7*0.03937</f>
        <v>0.74803000000000008</v>
      </c>
      <c r="D7" s="37" t="s">
        <v>14</v>
      </c>
      <c r="E7" s="21"/>
      <c r="F7" s="21"/>
      <c r="G7" s="21"/>
      <c r="H7" s="38"/>
      <c r="I7" s="64"/>
      <c r="J7" s="43">
        <f>БАЗА_ОРУЖИЯ!C2</f>
        <v>305</v>
      </c>
      <c r="K7" s="44">
        <f>J7*0.03937</f>
        <v>12.007850000000001</v>
      </c>
    </row>
    <row r="8" spans="1:11" ht="15.75" thickBot="1">
      <c r="A8" s="54" t="s">
        <v>5</v>
      </c>
      <c r="B8" s="1" t="s">
        <v>6</v>
      </c>
      <c r="C8" s="31" t="s">
        <v>30</v>
      </c>
      <c r="D8" s="39" t="str">
        <f>"Т = ("&amp;IF(B9&lt;457,125,IF(457&lt;B9&lt;853,150,180))&amp;"*"&amp;$B$5&amp;"^2) / "&amp;$B$7&amp;" = "&amp;ROUNDUP((IF(B9&lt;457,125,IF(457&lt;B9&lt;853,150,180))*$B$5^2)/$B$7,3)&amp;" мм"</f>
        <v>Т = (180*5,7^2) / 19 = 307,8 мм</v>
      </c>
      <c r="E8" s="21"/>
      <c r="F8" s="21"/>
      <c r="G8" s="21"/>
      <c r="H8" s="38"/>
      <c r="I8" s="65" t="s">
        <v>60</v>
      </c>
      <c r="J8" s="1" t="s">
        <v>2</v>
      </c>
      <c r="K8" s="2" t="s">
        <v>1</v>
      </c>
    </row>
    <row r="9" spans="1:11" ht="19.5" thickBot="1">
      <c r="A9" s="55"/>
      <c r="B9" s="9">
        <f>БАЗА_ПАТРОНОВ!G2</f>
        <v>972</v>
      </c>
      <c r="C9" s="32">
        <f>B9*3.33333333333333</f>
        <v>3239.9999999999968</v>
      </c>
      <c r="D9" s="68" t="s">
        <v>22</v>
      </c>
      <c r="E9" s="69"/>
      <c r="F9" s="69"/>
      <c r="G9" s="69"/>
      <c r="H9" s="70"/>
      <c r="I9" s="66"/>
      <c r="J9" s="9">
        <f>ROUNDUP((IF(B9&lt;457,125,IF(457&lt;B9&lt;853,150,180))*$B$5^2)/$B$7,3)</f>
        <v>307.8</v>
      </c>
      <c r="K9" s="10">
        <f>ROUNDUP((IF(B9&lt;457,125,IF(457&lt;B9&lt;853,150,180))*$C$5^2)/$C$7,3)</f>
        <v>12.119</v>
      </c>
    </row>
    <row r="10" spans="1:11" ht="24.75" customHeight="1" thickBot="1">
      <c r="A10" s="54" t="s">
        <v>12</v>
      </c>
      <c r="B10" s="1" t="s">
        <v>28</v>
      </c>
      <c r="C10" s="31" t="s">
        <v>29</v>
      </c>
      <c r="D10" s="71" t="s">
        <v>23</v>
      </c>
      <c r="E10" s="72"/>
      <c r="F10" s="72"/>
      <c r="G10" s="72"/>
      <c r="H10" s="73"/>
      <c r="I10" s="63"/>
      <c r="J10" s="1"/>
      <c r="K10" s="2"/>
    </row>
    <row r="11" spans="1:11" ht="24" customHeight="1" thickBot="1">
      <c r="A11" s="62"/>
      <c r="B11" s="11">
        <f>БАЗА_ПАТРОНОВ!H2</f>
        <v>3.56</v>
      </c>
      <c r="C11" s="33">
        <f>B11/0.064799</f>
        <v>54.93911943085542</v>
      </c>
      <c r="D11" s="51" t="s">
        <v>25</v>
      </c>
      <c r="E11" s="52"/>
      <c r="F11" s="52"/>
      <c r="G11" s="52"/>
      <c r="H11" s="53"/>
      <c r="I11" s="67"/>
      <c r="J11" s="11"/>
      <c r="K11" s="12"/>
    </row>
    <row r="12" spans="1:11" ht="16.5" customHeight="1" thickBot="1">
      <c r="A12" s="8" t="s">
        <v>15</v>
      </c>
      <c r="B12" s="13">
        <f>БАЗА_ПАТРОНОВ!I2</f>
        <v>0.255</v>
      </c>
      <c r="C12" s="34"/>
      <c r="D12" s="40"/>
      <c r="E12" s="56" t="str">
        <f>"SF = "&amp;ROUNDUP(((C11*(20.62*(C5^2.25))^2)/((K7*(C7^2.25))^2))/(1-(C9/5705)),3)</f>
        <v>SF = 1,664</v>
      </c>
      <c r="F12" s="57"/>
      <c r="G12" s="58"/>
      <c r="H12" s="38"/>
      <c r="I12" s="36"/>
      <c r="J12" s="13"/>
      <c r="K12" s="14"/>
    </row>
    <row r="13" spans="1:11" ht="15.75" customHeight="1" thickBot="1">
      <c r="A13" s="54" t="s">
        <v>20</v>
      </c>
      <c r="B13" s="1" t="s">
        <v>6</v>
      </c>
      <c r="C13" s="31" t="s">
        <v>27</v>
      </c>
      <c r="D13" s="40"/>
      <c r="E13" s="59"/>
      <c r="F13" s="60"/>
      <c r="G13" s="61"/>
      <c r="H13" s="38"/>
      <c r="I13" s="16"/>
      <c r="J13" s="16"/>
      <c r="K13" s="22"/>
    </row>
    <row r="14" spans="1:11" ht="16.5" thickBot="1">
      <c r="A14" s="55"/>
      <c r="B14" s="9">
        <f>БАЗА_ПАТРОНОВ!H5</f>
        <v>3.56</v>
      </c>
      <c r="C14" s="30">
        <f>B14/0.064799</f>
        <v>54.93911943085542</v>
      </c>
      <c r="D14" s="51" t="s">
        <v>26</v>
      </c>
      <c r="E14" s="52"/>
      <c r="F14" s="52"/>
      <c r="G14" s="52"/>
      <c r="H14" s="53"/>
      <c r="I14" s="16"/>
      <c r="J14" s="16"/>
      <c r="K14" s="22"/>
    </row>
    <row r="15" spans="1:11" ht="21.75" thickBot="1">
      <c r="A15" s="19"/>
      <c r="B15" s="20"/>
      <c r="C15" s="20"/>
      <c r="D15" s="48" t="str">
        <f>IF(E12&lt;1,"Пуля не стабильна",IF(E12=1,"Пуля на грани нестабильности",IF(E12&gt;1,IF(E12&lt;1.3,"Пуля на грани нестабильности",IF(E12&gt;1.3,IF(E12&lt;1.5,"Пуля полностью стабилизирована","Пуля максимально стабилизирована"))))))</f>
        <v>Пуля максимально стабилизирована</v>
      </c>
      <c r="E15" s="49"/>
      <c r="F15" s="49"/>
      <c r="G15" s="49"/>
      <c r="H15" s="50"/>
      <c r="I15" s="16"/>
      <c r="J15" s="16"/>
      <c r="K15" s="22"/>
    </row>
    <row r="16" spans="1:11">
      <c r="A16" s="19"/>
      <c r="B16" s="20"/>
      <c r="C16" s="20"/>
      <c r="D16" s="40"/>
      <c r="E16" s="21"/>
      <c r="F16" s="21"/>
      <c r="G16" s="21"/>
      <c r="H16" s="38"/>
      <c r="I16" s="16"/>
      <c r="J16" s="16"/>
      <c r="K16" s="22"/>
    </row>
    <row r="17" spans="1:11" ht="15.75" thickBot="1">
      <c r="A17" s="23"/>
      <c r="B17" s="24"/>
      <c r="C17" s="24"/>
      <c r="D17" s="41"/>
      <c r="E17" s="25"/>
      <c r="F17" s="25"/>
      <c r="G17" s="25"/>
      <c r="H17" s="42"/>
      <c r="I17" s="26"/>
      <c r="J17" s="26"/>
      <c r="K17" s="27"/>
    </row>
    <row r="18" spans="1:11" ht="15.75" thickBot="1"/>
    <row r="19" spans="1:11" ht="15.75" hidden="1" thickBot="1"/>
    <row r="20" spans="1:11" ht="77.25" customHeight="1" thickBot="1">
      <c r="A20" s="45" t="s">
        <v>24</v>
      </c>
      <c r="B20" s="46"/>
      <c r="C20" s="47"/>
      <c r="F20">
        <f>5.69-5.57</f>
        <v>0.12000000000000011</v>
      </c>
      <c r="J20">
        <v>4.2</v>
      </c>
      <c r="K20" s="33">
        <f>J20/0.064799</f>
        <v>64.815815058874378</v>
      </c>
    </row>
  </sheetData>
  <mergeCells count="20">
    <mergeCell ref="D1:H2"/>
    <mergeCell ref="I4:I5"/>
    <mergeCell ref="A6:A7"/>
    <mergeCell ref="A8:A9"/>
    <mergeCell ref="I1:K2"/>
    <mergeCell ref="D3:H3"/>
    <mergeCell ref="D4:H4"/>
    <mergeCell ref="A4:A5"/>
    <mergeCell ref="A10:A11"/>
    <mergeCell ref="D11:H11"/>
    <mergeCell ref="I6:I7"/>
    <mergeCell ref="I8:I9"/>
    <mergeCell ref="I10:I11"/>
    <mergeCell ref="D9:H9"/>
    <mergeCell ref="D10:H10"/>
    <mergeCell ref="A20:C20"/>
    <mergeCell ref="D15:H15"/>
    <mergeCell ref="D14:H14"/>
    <mergeCell ref="A13:A14"/>
    <mergeCell ref="E12:G13"/>
  </mergeCells>
  <phoneticPr fontId="6" type="noConversion"/>
  <pageMargins left="0.7" right="0.7" top="0.75" bottom="0.75" header="0.3" footer="0.3"/>
  <pageSetup paperSize="9" orientation="portrait" horizontalDpi="180" verticalDpi="18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2060"/>
  </sheetPr>
  <dimension ref="A1:O39"/>
  <sheetViews>
    <sheetView topLeftCell="B1" workbookViewId="0">
      <selection activeCell="H6" sqref="H6"/>
    </sheetView>
  </sheetViews>
  <sheetFormatPr defaultRowHeight="15"/>
  <cols>
    <col min="1" max="1" width="30.85546875" customWidth="1"/>
    <col min="2" max="2" width="20.140625" customWidth="1"/>
    <col min="3" max="4" width="18.42578125" customWidth="1"/>
  </cols>
  <sheetData>
    <row r="1" spans="1:15">
      <c r="A1" t="s">
        <v>8</v>
      </c>
      <c r="B1" t="s">
        <v>31</v>
      </c>
      <c r="C1" t="s">
        <v>36</v>
      </c>
      <c r="D1" t="s">
        <v>39</v>
      </c>
      <c r="E1" t="s">
        <v>9</v>
      </c>
      <c r="F1" t="s">
        <v>10</v>
      </c>
      <c r="G1" t="s">
        <v>13</v>
      </c>
      <c r="H1" t="s">
        <v>11</v>
      </c>
      <c r="I1" t="s">
        <v>16</v>
      </c>
    </row>
    <row r="2" spans="1:15">
      <c r="A2" t="str">
        <f>CHOOSE(A3,A4,A5,A6,A7,A8,A9,A10,A11,A12,A13,A14,A15,A16,A17,A18,A19,A20,A21,A22,A23,A24,A25)</f>
        <v>Hornady V-max 223Rem, 3,56гр</v>
      </c>
      <c r="E2">
        <f>CHOOSE(E3,E4,E5,E6,E7,E8,E9,E10,E11,E12,E13,E14,E15,E16,E17,E18,E19,E20,E21,E22,E23,E24,E25,E26,E27,E28,E29,E30,E31,E32,E33,E34,E35,E36,E37,E38,E39,)</f>
        <v>5.7</v>
      </c>
      <c r="F2">
        <f t="shared" ref="F2:O2" si="0">CHOOSE(F3,F4,F5,F6,F7,F8,F9,F10,F11,F12,F13,F14,F15,F16,F17,F18,F19,F20,F21,F22,F23,F24,F25,F26,F27,F28,F29,F30,F31,F32,F33,F34,F35,F36,F37,F38,F39,)</f>
        <v>19</v>
      </c>
      <c r="G2">
        <f t="shared" si="0"/>
        <v>972</v>
      </c>
      <c r="H2">
        <f t="shared" si="0"/>
        <v>3.56</v>
      </c>
      <c r="I2">
        <f t="shared" si="0"/>
        <v>0.255</v>
      </c>
      <c r="J2">
        <f t="shared" si="0"/>
        <v>0</v>
      </c>
      <c r="K2">
        <f t="shared" si="0"/>
        <v>0</v>
      </c>
      <c r="L2">
        <f t="shared" si="0"/>
        <v>0</v>
      </c>
      <c r="M2">
        <f t="shared" si="0"/>
        <v>0</v>
      </c>
      <c r="N2">
        <f t="shared" si="0"/>
        <v>0</v>
      </c>
      <c r="O2">
        <f t="shared" si="0"/>
        <v>0</v>
      </c>
    </row>
    <row r="3" spans="1:15">
      <c r="A3">
        <v>16</v>
      </c>
      <c r="E3">
        <f>A3</f>
        <v>16</v>
      </c>
      <c r="F3">
        <f t="shared" ref="F3:O3" si="1">E3</f>
        <v>16</v>
      </c>
      <c r="G3">
        <f t="shared" si="1"/>
        <v>16</v>
      </c>
      <c r="H3">
        <f t="shared" si="1"/>
        <v>16</v>
      </c>
      <c r="I3">
        <f t="shared" si="1"/>
        <v>16</v>
      </c>
      <c r="J3">
        <f t="shared" si="1"/>
        <v>16</v>
      </c>
      <c r="K3">
        <f t="shared" si="1"/>
        <v>16</v>
      </c>
      <c r="L3">
        <f t="shared" si="1"/>
        <v>16</v>
      </c>
      <c r="M3">
        <f t="shared" si="1"/>
        <v>16</v>
      </c>
      <c r="N3">
        <f t="shared" si="1"/>
        <v>16</v>
      </c>
      <c r="O3">
        <f t="shared" si="1"/>
        <v>16</v>
      </c>
    </row>
    <row r="4" spans="1:15">
      <c r="A4" t="str">
        <f>B4&amp;" "&amp;C4&amp;" "&amp;D4&amp;", "&amp;H4&amp;"гр"</f>
        <v>Тула GR FMJ 223Rem, 4гр</v>
      </c>
      <c r="B4" t="s">
        <v>32</v>
      </c>
      <c r="C4" t="s">
        <v>37</v>
      </c>
      <c r="D4" t="s">
        <v>40</v>
      </c>
      <c r="E4">
        <v>5.7</v>
      </c>
      <c r="F4">
        <v>20</v>
      </c>
      <c r="G4">
        <v>930</v>
      </c>
      <c r="H4">
        <v>4</v>
      </c>
      <c r="I4">
        <v>0.29299999999999998</v>
      </c>
    </row>
    <row r="5" spans="1:15">
      <c r="A5" t="str">
        <f t="shared" ref="A5:A39" si="2">B5&amp;" "&amp;C5&amp;" "&amp;D5&amp;", "&amp;H5&amp;"гр"</f>
        <v>Тула GR FMJ 223Rem, 3,56гр</v>
      </c>
      <c r="B5" t="s">
        <v>32</v>
      </c>
      <c r="C5" t="s">
        <v>37</v>
      </c>
      <c r="D5" t="s">
        <v>40</v>
      </c>
      <c r="E5">
        <v>5.7</v>
      </c>
      <c r="F5">
        <v>20</v>
      </c>
      <c r="G5">
        <v>957</v>
      </c>
      <c r="H5">
        <v>3.56</v>
      </c>
      <c r="I5">
        <v>0.25700000000000001</v>
      </c>
    </row>
    <row r="6" spans="1:15">
      <c r="A6" t="str">
        <f t="shared" si="2"/>
        <v>Тула GR HP 223Rem, 4гр</v>
      </c>
      <c r="B6" t="s">
        <v>32</v>
      </c>
      <c r="C6" t="s">
        <v>38</v>
      </c>
      <c r="D6" t="s">
        <v>40</v>
      </c>
      <c r="E6">
        <v>5.7</v>
      </c>
      <c r="F6">
        <v>20</v>
      </c>
      <c r="G6">
        <v>909</v>
      </c>
      <c r="H6">
        <v>4</v>
      </c>
      <c r="I6">
        <v>0.248</v>
      </c>
    </row>
    <row r="7" spans="1:15">
      <c r="A7" t="str">
        <f t="shared" si="2"/>
        <v>Тула GR HP 223Rem, 3,6гр</v>
      </c>
      <c r="B7" t="s">
        <v>32</v>
      </c>
      <c r="C7" t="s">
        <v>38</v>
      </c>
      <c r="D7" t="s">
        <v>40</v>
      </c>
      <c r="E7">
        <v>5.7</v>
      </c>
      <c r="F7">
        <v>19.8</v>
      </c>
      <c r="G7">
        <v>947</v>
      </c>
      <c r="H7">
        <v>3.6</v>
      </c>
      <c r="I7">
        <v>0.255</v>
      </c>
    </row>
    <row r="8" spans="1:15">
      <c r="A8" t="str">
        <f t="shared" si="2"/>
        <v>Federal GM 223Rem, 5гр</v>
      </c>
      <c r="B8" t="s">
        <v>33</v>
      </c>
      <c r="C8" t="s">
        <v>41</v>
      </c>
      <c r="D8" t="s">
        <v>40</v>
      </c>
      <c r="E8">
        <v>5.7</v>
      </c>
      <c r="F8">
        <v>20</v>
      </c>
      <c r="G8">
        <v>833</v>
      </c>
      <c r="H8">
        <v>5</v>
      </c>
      <c r="I8">
        <v>0.36199999999999999</v>
      </c>
    </row>
    <row r="9" spans="1:15">
      <c r="A9" t="str">
        <f t="shared" si="2"/>
        <v>Winchester SBST 223Rem, 3,2гр</v>
      </c>
      <c r="B9" t="s">
        <v>34</v>
      </c>
      <c r="C9" t="s">
        <v>42</v>
      </c>
      <c r="D9" t="s">
        <v>40</v>
      </c>
      <c r="E9">
        <v>5.7</v>
      </c>
      <c r="F9">
        <v>18</v>
      </c>
      <c r="G9">
        <v>1039</v>
      </c>
      <c r="H9">
        <v>3.2</v>
      </c>
      <c r="I9">
        <v>0.23899999999999999</v>
      </c>
    </row>
    <row r="10" spans="1:15">
      <c r="A10" t="str">
        <f t="shared" si="2"/>
        <v>Барнаул GR FMJ 223Rem, 3,56гр</v>
      </c>
      <c r="B10" t="s">
        <v>35</v>
      </c>
      <c r="C10" t="s">
        <v>37</v>
      </c>
      <c r="D10" t="s">
        <v>40</v>
      </c>
      <c r="E10">
        <v>5.7</v>
      </c>
      <c r="F10">
        <v>21.7</v>
      </c>
      <c r="G10">
        <v>935</v>
      </c>
      <c r="H10">
        <v>3.56</v>
      </c>
    </row>
    <row r="11" spans="1:15">
      <c r="A11" t="str">
        <f t="shared" si="2"/>
        <v>Swiss Munition (SM) SWISS P 223Rem, 4,47гр</v>
      </c>
      <c r="B11" t="s">
        <v>47</v>
      </c>
      <c r="C11" t="s">
        <v>48</v>
      </c>
      <c r="D11" t="s">
        <v>40</v>
      </c>
      <c r="E11">
        <v>5.7</v>
      </c>
      <c r="F11">
        <v>20</v>
      </c>
      <c r="G11">
        <v>890</v>
      </c>
      <c r="H11">
        <v>4.47</v>
      </c>
      <c r="I11">
        <v>0.31</v>
      </c>
    </row>
    <row r="12" spans="1:15">
      <c r="A12" t="str">
        <f t="shared" si="2"/>
        <v>Sako SpeedHead (105G) 223Rem, 3,2гр</v>
      </c>
      <c r="B12" t="s">
        <v>50</v>
      </c>
      <c r="C12" t="s">
        <v>49</v>
      </c>
      <c r="D12" t="s">
        <v>40</v>
      </c>
      <c r="E12">
        <v>5.7</v>
      </c>
      <c r="F12">
        <v>20</v>
      </c>
      <c r="G12">
        <v>1020.5</v>
      </c>
      <c r="H12">
        <v>3.2</v>
      </c>
      <c r="I12">
        <v>0.19</v>
      </c>
    </row>
    <row r="13" spans="1:15">
      <c r="A13" t="str">
        <f t="shared" si="2"/>
        <v>Norma FMJBT (15725) 223Rem, 3,56гр</v>
      </c>
      <c r="B13" t="s">
        <v>51</v>
      </c>
      <c r="C13" t="s">
        <v>52</v>
      </c>
      <c r="D13" t="s">
        <v>40</v>
      </c>
      <c r="E13">
        <v>5.7</v>
      </c>
      <c r="F13">
        <v>20</v>
      </c>
      <c r="G13">
        <v>1011</v>
      </c>
      <c r="H13">
        <v>3.56</v>
      </c>
      <c r="I13">
        <v>0.28000000000000003</v>
      </c>
    </row>
    <row r="14" spans="1:15">
      <c r="A14" t="str">
        <f t="shared" si="2"/>
        <v>Winchester Ballistic Silvertip 223Rem, 3,23гр</v>
      </c>
      <c r="B14" t="s">
        <v>34</v>
      </c>
      <c r="C14" t="s">
        <v>53</v>
      </c>
      <c r="D14" t="s">
        <v>40</v>
      </c>
      <c r="E14">
        <v>5.69</v>
      </c>
      <c r="F14">
        <v>20</v>
      </c>
      <c r="G14">
        <v>1039</v>
      </c>
      <c r="H14">
        <v>3.23</v>
      </c>
      <c r="I14">
        <v>0.23799999999999999</v>
      </c>
    </row>
    <row r="15" spans="1:15">
      <c r="A15" t="str">
        <f t="shared" si="2"/>
        <v xml:space="preserve">  22LR, 2,6гр</v>
      </c>
      <c r="D15" t="s">
        <v>43</v>
      </c>
      <c r="E15">
        <v>5.69</v>
      </c>
      <c r="F15">
        <v>20</v>
      </c>
      <c r="G15">
        <v>320</v>
      </c>
      <c r="H15">
        <v>2.6</v>
      </c>
    </row>
    <row r="16" spans="1:15">
      <c r="A16" t="str">
        <f t="shared" si="2"/>
        <v>Hornady Varmint Express (VX) MOLY 223Rem, 3,56гр</v>
      </c>
      <c r="B16" t="s">
        <v>54</v>
      </c>
      <c r="C16" t="s">
        <v>55</v>
      </c>
      <c r="D16" t="s">
        <v>40</v>
      </c>
      <c r="E16">
        <v>5.7</v>
      </c>
      <c r="F16">
        <v>19</v>
      </c>
      <c r="G16">
        <v>1039</v>
      </c>
      <c r="H16">
        <v>3.56</v>
      </c>
      <c r="I16">
        <v>0.26100000000000001</v>
      </c>
    </row>
    <row r="17" spans="1:9">
      <c r="A17" t="str">
        <f t="shared" si="2"/>
        <v>Sako Super Match  223Rem, 3,43гр</v>
      </c>
      <c r="B17" t="s">
        <v>50</v>
      </c>
      <c r="C17" t="s">
        <v>56</v>
      </c>
      <c r="D17" t="s">
        <v>40</v>
      </c>
      <c r="E17">
        <v>5.7</v>
      </c>
      <c r="F17">
        <v>19</v>
      </c>
      <c r="G17">
        <v>925</v>
      </c>
      <c r="H17">
        <v>3.43</v>
      </c>
    </row>
    <row r="18" spans="1:9">
      <c r="A18" t="str">
        <f t="shared" si="2"/>
        <v>Hornady V-max 223Rem, 2,59гр</v>
      </c>
      <c r="B18" t="s">
        <v>54</v>
      </c>
      <c r="C18" t="s">
        <v>57</v>
      </c>
      <c r="D18" t="s">
        <v>40</v>
      </c>
      <c r="E18">
        <v>5.7</v>
      </c>
      <c r="F18">
        <v>19</v>
      </c>
      <c r="G18">
        <v>1170</v>
      </c>
      <c r="H18">
        <v>2.59</v>
      </c>
      <c r="I18">
        <v>0.2</v>
      </c>
    </row>
    <row r="19" spans="1:9">
      <c r="A19" t="str">
        <f t="shared" si="2"/>
        <v>Hornady V-max 223Rem, 3,56гр</v>
      </c>
      <c r="B19" t="s">
        <v>54</v>
      </c>
      <c r="C19" t="s">
        <v>57</v>
      </c>
      <c r="D19" t="s">
        <v>40</v>
      </c>
      <c r="E19">
        <v>5.7</v>
      </c>
      <c r="F19">
        <v>19</v>
      </c>
      <c r="G19">
        <v>972</v>
      </c>
      <c r="H19">
        <v>3.56</v>
      </c>
      <c r="I19">
        <v>0.255</v>
      </c>
    </row>
    <row r="20" spans="1:9">
      <c r="A20" t="str">
        <f t="shared" si="2"/>
        <v>Кентавр FMJBT (2267) 223Rem, 3,56гр</v>
      </c>
      <c r="B20" t="s">
        <v>58</v>
      </c>
      <c r="C20" t="s">
        <v>61</v>
      </c>
      <c r="D20" t="s">
        <v>40</v>
      </c>
      <c r="E20">
        <v>5.7</v>
      </c>
      <c r="F20">
        <v>20</v>
      </c>
      <c r="G20">
        <v>954</v>
      </c>
      <c r="H20">
        <v>3.56</v>
      </c>
      <c r="I20">
        <v>0.22700000000000001</v>
      </c>
    </row>
    <row r="21" spans="1:9">
      <c r="A21" t="str">
        <f t="shared" si="2"/>
        <v>Кентавр FMJBT 223Rem, 4гр</v>
      </c>
      <c r="B21" t="s">
        <v>58</v>
      </c>
      <c r="C21" t="s">
        <v>59</v>
      </c>
      <c r="D21" t="s">
        <v>40</v>
      </c>
      <c r="E21">
        <v>5.7</v>
      </c>
      <c r="F21">
        <v>20</v>
      </c>
      <c r="G21">
        <v>890</v>
      </c>
      <c r="H21">
        <v>4</v>
      </c>
      <c r="I21">
        <v>0.309</v>
      </c>
    </row>
    <row r="22" spans="1:9">
      <c r="A22" t="str">
        <f t="shared" si="2"/>
        <v>Кентавр FMJBT 223Rem, 5,8гр</v>
      </c>
      <c r="B22" t="s">
        <v>58</v>
      </c>
      <c r="C22" t="s">
        <v>59</v>
      </c>
      <c r="D22" t="s">
        <v>40</v>
      </c>
      <c r="E22">
        <v>5.7</v>
      </c>
      <c r="F22">
        <v>20</v>
      </c>
      <c r="G22">
        <v>819</v>
      </c>
      <c r="H22">
        <v>5.8</v>
      </c>
      <c r="I22">
        <v>0.10059999999999999</v>
      </c>
    </row>
    <row r="23" spans="1:9">
      <c r="A23" t="str">
        <f t="shared" si="2"/>
        <v xml:space="preserve">  , гр</v>
      </c>
    </row>
    <row r="24" spans="1:9">
      <c r="A24" t="str">
        <f t="shared" si="2"/>
        <v xml:space="preserve">  , гр</v>
      </c>
    </row>
    <row r="25" spans="1:9">
      <c r="A25" t="str">
        <f t="shared" si="2"/>
        <v xml:space="preserve">  , гр</v>
      </c>
    </row>
    <row r="26" spans="1:9">
      <c r="A26" t="str">
        <f t="shared" si="2"/>
        <v xml:space="preserve">  , гр</v>
      </c>
    </row>
    <row r="27" spans="1:9">
      <c r="A27" t="str">
        <f t="shared" si="2"/>
        <v xml:space="preserve">  , гр</v>
      </c>
    </row>
    <row r="28" spans="1:9">
      <c r="A28" t="str">
        <f t="shared" si="2"/>
        <v xml:space="preserve">  , гр</v>
      </c>
    </row>
    <row r="29" spans="1:9">
      <c r="A29" t="str">
        <f t="shared" si="2"/>
        <v>ПНЕВМАТИКА  , гр</v>
      </c>
      <c r="B29" t="s">
        <v>62</v>
      </c>
    </row>
    <row r="30" spans="1:9">
      <c r="A30" t="str">
        <f t="shared" si="2"/>
        <v xml:space="preserve">  , 0,5гр</v>
      </c>
      <c r="E30">
        <v>4.5</v>
      </c>
      <c r="F30">
        <v>5</v>
      </c>
      <c r="G30">
        <v>300</v>
      </c>
      <c r="H30">
        <v>0.5</v>
      </c>
      <c r="I30">
        <v>0.12</v>
      </c>
    </row>
    <row r="31" spans="1:9">
      <c r="A31" t="str">
        <f t="shared" si="2"/>
        <v xml:space="preserve">  , 0,55гр</v>
      </c>
      <c r="E31">
        <v>4.5</v>
      </c>
      <c r="F31">
        <v>6</v>
      </c>
      <c r="G31">
        <v>300</v>
      </c>
      <c r="H31">
        <v>0.55000000000000004</v>
      </c>
      <c r="I31">
        <v>0.12</v>
      </c>
    </row>
    <row r="32" spans="1:9">
      <c r="A32" t="str">
        <f t="shared" si="2"/>
        <v xml:space="preserve">  , 0,6гр</v>
      </c>
      <c r="E32">
        <v>4.5</v>
      </c>
      <c r="F32">
        <v>7</v>
      </c>
      <c r="G32">
        <v>300</v>
      </c>
      <c r="H32">
        <v>0.6</v>
      </c>
      <c r="I32">
        <v>0.12</v>
      </c>
    </row>
    <row r="33" spans="1:9">
      <c r="A33" t="str">
        <f t="shared" si="2"/>
        <v xml:space="preserve">  , 0,65гр</v>
      </c>
      <c r="E33">
        <v>4.5</v>
      </c>
      <c r="F33">
        <v>8</v>
      </c>
      <c r="G33">
        <v>300</v>
      </c>
      <c r="H33">
        <v>0.65</v>
      </c>
      <c r="I33">
        <v>0.12</v>
      </c>
    </row>
    <row r="34" spans="1:9">
      <c r="A34" t="str">
        <f t="shared" si="2"/>
        <v xml:space="preserve">  , 0,75гр</v>
      </c>
      <c r="E34">
        <v>4.5</v>
      </c>
      <c r="F34">
        <v>9</v>
      </c>
      <c r="G34">
        <v>300</v>
      </c>
      <c r="H34">
        <v>0.75</v>
      </c>
      <c r="I34">
        <v>0.12</v>
      </c>
    </row>
    <row r="35" spans="1:9">
      <c r="A35" t="str">
        <f t="shared" si="2"/>
        <v xml:space="preserve">  , гр</v>
      </c>
    </row>
    <row r="36" spans="1:9">
      <c r="A36" t="str">
        <f t="shared" si="2"/>
        <v xml:space="preserve">  , гр</v>
      </c>
    </row>
    <row r="37" spans="1:9">
      <c r="A37" t="str">
        <f t="shared" si="2"/>
        <v xml:space="preserve">  , гр</v>
      </c>
    </row>
    <row r="38" spans="1:9">
      <c r="A38" t="str">
        <f t="shared" si="2"/>
        <v xml:space="preserve">  , гр</v>
      </c>
    </row>
    <row r="39" spans="1:9">
      <c r="A39" t="str">
        <f t="shared" si="2"/>
        <v xml:space="preserve">  , гр</v>
      </c>
    </row>
  </sheetData>
  <phoneticPr fontId="6" type="noConversion"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FF00"/>
  </sheetPr>
  <dimension ref="A1:L14"/>
  <sheetViews>
    <sheetView workbookViewId="0">
      <selection activeCell="C14" sqref="C14"/>
    </sheetView>
  </sheetViews>
  <sheetFormatPr defaultRowHeight="15"/>
  <cols>
    <col min="1" max="1" width="34.7109375" customWidth="1"/>
    <col min="3" max="3" width="22.28515625" customWidth="1"/>
  </cols>
  <sheetData>
    <row r="1" spans="1:12">
      <c r="A1" t="s">
        <v>8</v>
      </c>
      <c r="B1" t="s">
        <v>18</v>
      </c>
      <c r="C1" t="s">
        <v>3</v>
      </c>
    </row>
    <row r="2" spans="1:12">
      <c r="A2" t="str">
        <f>CHOOSE(A3,A4,A5,A6,A7,A8,A9,A10,A11,A12,A13,A14,A15,A16,A17,A18,A19,A20,A21,A22,A23,A24,A25)</f>
        <v>ИЖ-18МН</v>
      </c>
      <c r="B2">
        <f t="shared" ref="B2:L2" si="0">CHOOSE(B3,B4,B5,B6,B7,B8,B9,B10,B11,B12,B13,B14,B15,B16,B17,B18,B19,B20,B21,B22,B23,B24,B25)</f>
        <v>5.56</v>
      </c>
      <c r="C2">
        <f t="shared" si="0"/>
        <v>305</v>
      </c>
      <c r="D2">
        <f t="shared" si="0"/>
        <v>0</v>
      </c>
      <c r="E2">
        <f t="shared" si="0"/>
        <v>0</v>
      </c>
      <c r="F2">
        <f t="shared" si="0"/>
        <v>0</v>
      </c>
      <c r="G2">
        <f t="shared" si="0"/>
        <v>0</v>
      </c>
      <c r="H2">
        <f t="shared" si="0"/>
        <v>0</v>
      </c>
      <c r="I2">
        <f t="shared" si="0"/>
        <v>0</v>
      </c>
      <c r="J2">
        <f t="shared" si="0"/>
        <v>0</v>
      </c>
      <c r="K2">
        <f t="shared" si="0"/>
        <v>0</v>
      </c>
      <c r="L2">
        <f t="shared" si="0"/>
        <v>0</v>
      </c>
    </row>
    <row r="3" spans="1:12">
      <c r="A3">
        <v>1</v>
      </c>
      <c r="B3">
        <f>A3</f>
        <v>1</v>
      </c>
      <c r="C3">
        <f t="shared" ref="C3:L3" si="1">B3</f>
        <v>1</v>
      </c>
      <c r="D3">
        <f t="shared" si="1"/>
        <v>1</v>
      </c>
      <c r="E3">
        <f t="shared" si="1"/>
        <v>1</v>
      </c>
      <c r="F3">
        <f t="shared" si="1"/>
        <v>1</v>
      </c>
      <c r="G3">
        <f t="shared" si="1"/>
        <v>1</v>
      </c>
      <c r="H3">
        <f t="shared" si="1"/>
        <v>1</v>
      </c>
      <c r="I3">
        <f t="shared" si="1"/>
        <v>1</v>
      </c>
      <c r="J3">
        <f t="shared" si="1"/>
        <v>1</v>
      </c>
      <c r="K3">
        <f t="shared" si="1"/>
        <v>1</v>
      </c>
      <c r="L3">
        <f t="shared" si="1"/>
        <v>1</v>
      </c>
    </row>
    <row r="4" spans="1:12">
      <c r="A4" t="s">
        <v>19</v>
      </c>
      <c r="B4">
        <v>5.56</v>
      </c>
      <c r="C4">
        <v>305</v>
      </c>
    </row>
    <row r="5" spans="1:12">
      <c r="A5" t="s">
        <v>44</v>
      </c>
      <c r="B5">
        <v>5.6</v>
      </c>
      <c r="C5">
        <v>350</v>
      </c>
    </row>
    <row r="11" spans="1:12">
      <c r="A11" t="s">
        <v>62</v>
      </c>
      <c r="B11">
        <v>4.5</v>
      </c>
      <c r="C11">
        <v>450</v>
      </c>
    </row>
    <row r="12" spans="1:12">
      <c r="A12" t="s">
        <v>63</v>
      </c>
    </row>
    <row r="13" spans="1:12">
      <c r="A13" t="s">
        <v>65</v>
      </c>
      <c r="B13">
        <v>4.5</v>
      </c>
      <c r="C13">
        <v>400</v>
      </c>
    </row>
    <row r="14" spans="1:12">
      <c r="A14" t="s">
        <v>64</v>
      </c>
      <c r="B14">
        <v>4.5</v>
      </c>
      <c r="C14">
        <v>450</v>
      </c>
    </row>
  </sheetData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Расчет</vt:lpstr>
      <vt:lpstr>БАЗА_ПАТРОНОВ</vt:lpstr>
      <vt:lpstr>БАЗА_ОРУЖИЯ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2011-10-25T15:24:19Z</dcterms:modified>
</cp:coreProperties>
</file>